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270" windowWidth="2760" windowHeight="2400" tabRatio="842" firstSheet="1" activeTab="1"/>
  </bookViews>
  <sheets>
    <sheet name="не печатать" sheetId="1" r:id="rId1"/>
    <sheet name="приложение 12" sheetId="2" r:id="rId2"/>
  </sheets>
  <externalReferences>
    <externalReference r:id="rId5"/>
    <externalReference r:id="rId6"/>
  </externalReferences>
  <definedNames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Area" localSheetId="0">'не печатать'!$B$7:$H$39</definedName>
  </definedNames>
  <calcPr fullCalcOnLoad="1"/>
</workbook>
</file>

<file path=xl/sharedStrings.xml><?xml version="1.0" encoding="utf-8"?>
<sst xmlns="http://schemas.openxmlformats.org/spreadsheetml/2006/main" count="86" uniqueCount="68">
  <si>
    <t>ИТОГО</t>
  </si>
  <si>
    <t>(1)</t>
  </si>
  <si>
    <t>(2)</t>
  </si>
  <si>
    <t>(3)</t>
  </si>
  <si>
    <t>(4)</t>
  </si>
  <si>
    <t>Коэффициент выравнивания доходов:</t>
  </si>
  <si>
    <t>Наименование поселения</t>
  </si>
  <si>
    <t>Объём средств, перечисляемых из ФК (РФФПП):</t>
  </si>
  <si>
    <t>(5)</t>
  </si>
  <si>
    <t>(6)</t>
  </si>
  <si>
    <t>(7)</t>
  </si>
  <si>
    <t>Размер дотации, тыс.рублей</t>
  </si>
  <si>
    <t>Предельный уровень бюджетной обеспеченности, руб./чел.</t>
  </si>
  <si>
    <t>Дополнительный объём средств за счёт собств. доходов:</t>
  </si>
  <si>
    <t>1-я часть (пропорционально числу жителей за счёт ФК)</t>
  </si>
  <si>
    <t>Эти данные заполнять не нужно</t>
  </si>
  <si>
    <t>Заполните эти данные</t>
  </si>
  <si>
    <t>Расчётные налоговые доходы,                                                                             тыс.рублей</t>
  </si>
  <si>
    <t>Расчётная бюджетная обеспеченность, руб./чел.
(2)/(3)*1000</t>
  </si>
  <si>
    <t>Итоговый размер дотации (5)+(6)</t>
  </si>
  <si>
    <t>Городское поселение Суходол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</si>
  <si>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</si>
  <si>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</si>
  <si>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</si>
  <si>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</si>
  <si>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</si>
  <si>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</si>
  <si>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</si>
  <si>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</si>
  <si>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</si>
  <si>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</si>
  <si>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</si>
  <si>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</si>
  <si>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Сергиевск</t>
  </si>
  <si>
    <t>Сельское поселение Серноводск</t>
  </si>
  <si>
    <t>Сельское поселение Сургут</t>
  </si>
  <si>
    <t>Сельское поселение Черновка</t>
  </si>
  <si>
    <t>Расчёт дотаций из районного фонда финансовой поддержки поселений на 2013 год</t>
  </si>
  <si>
    <t>по муниципальному району Сергиевский</t>
  </si>
  <si>
    <t>Размер фонда за счёт средств областного бюджета (1 часть), тыс.рублей</t>
  </si>
  <si>
    <t>Размер фонда за счёт собственных средств  (2 часть), тыс. рублей</t>
  </si>
  <si>
    <t>Итого районный фонд финансовой поддержки поселений, тыс. рублей</t>
  </si>
  <si>
    <t>Число жителей поселения на 01.01.2012г.,  чел.</t>
  </si>
  <si>
    <t>к Решению Собрания представителей</t>
  </si>
  <si>
    <t>тыс. рублей</t>
  </si>
  <si>
    <t>№</t>
  </si>
  <si>
    <t>Доходы (прогноз), без учета субвенций и субсидий из областного бюджета</t>
  </si>
  <si>
    <t>Расходы (прогноз), без учета субвенций и субсидий из областного бюджета</t>
  </si>
  <si>
    <t>Разница между доходами и расходами (прогноз)</t>
  </si>
  <si>
    <t xml:space="preserve">Расчет на </t>
  </si>
  <si>
    <t xml:space="preserve">Расчет размера предельного дефицита </t>
  </si>
  <si>
    <t>Размер средств из ФФПБП</t>
  </si>
  <si>
    <t>п/п</t>
  </si>
  <si>
    <t>Наименование поселений</t>
  </si>
  <si>
    <t>Размер дотации из РФФПП</t>
  </si>
  <si>
    <t>Налоговые доходы</t>
  </si>
  <si>
    <t>Неналоговые доходы</t>
  </si>
  <si>
    <t>Итого доходов</t>
  </si>
  <si>
    <t>покрытие</t>
  </si>
  <si>
    <t>дефицитов</t>
  </si>
  <si>
    <t>6=3+4+5</t>
  </si>
  <si>
    <t>8=6-7</t>
  </si>
  <si>
    <t>Итого:</t>
  </si>
  <si>
    <t>Приложение №6                                                                 к  Решению Собрания представителей муниципального района Сергиевский № 38           от"27" декабря 2012 года</t>
  </si>
  <si>
    <t>Распределение средств фонда финансовой помощи бюджетам поселений на 2014 год</t>
  </si>
  <si>
    <t>Приложение № 12</t>
  </si>
  <si>
    <t>муниципального района Сергиевский № 71</t>
  </si>
  <si>
    <t>от "20" декабря   2013г.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</si>
</sst>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_-* #,##0.000\ _р_._-;\-* #,##0.000\ _р_._-;_-* &quot;-&quot;??\ _р_._-;_-@_-"/>
    <numFmt numFmtId="179" formatCode="_-* #,##0.0000\ _р_._-;\-* #,##0.0000\ _р_._-;_-* &quot;-&quot;??\ _р_._-;_-@_-"/>
    <numFmt numFmtId="180" formatCode="_-* #,##0.00000\ _р_._-;\-* #,##0.00000\ _р_._-;_-* &quot;-&quot;??\ _р_._-;_-@_-"/>
    <numFmt numFmtId="181" formatCode="_-* #,##0.000000\ _р_._-;\-* #,##0.000000\ _р_._-;_-* &quot;-&quot;??\ _р_._-;_-@_-"/>
    <numFmt numFmtId="182" formatCode="_-* #,##0.0000000\ _р_._-;\-* #,##0.0000000\ _р_._-;_-* &quot;-&quot;??\ _р_._-;_-@_-"/>
    <numFmt numFmtId="183" formatCode="_-* #,##0.00000000\ _р_._-;\-* #,##0.00000000\ _р_._-;_-* &quot;-&quot;??\ _р_._-;_-@_-"/>
    <numFmt numFmtId="184" formatCode="_-* #,##0.000000000\ _р_._-;\-* #,##0.000000000\ _р_._-;_-* &quot;-&quot;??\ _р_._-;_-@_-"/>
    <numFmt numFmtId="185" formatCode="_-* #,##0.0000000000\ _р_._-;\-* #,##0.0000000000\ _р_._-;_-* &quot;-&quot;??\ _р_._-;_-@_-"/>
    <numFmt numFmtId="186" formatCode="_-* #,##0.00000000000\ _р_._-;\-* #,##0.00000000000\ _р_._-;_-* &quot;-&quot;??\ _р_._-;_-@_-"/>
    <numFmt numFmtId="187" formatCode="_-* #,##0.000000000000\ _р_._-;\-* #,##0.000000000000\ _р_._-;_-* &quot;-&quot;??\ _р_._-;_-@_-"/>
    <numFmt numFmtId="188" formatCode="_-* #,##0.0000000000000\ _р_._-;\-* #,##0.0000000000000\ _р_._-;_-* &quot;-&quot;??\ _р_._-;_-@_-"/>
    <numFmt numFmtId="189" formatCode="_-* #,##0.00000000000000\ _р_._-;\-* #,##0.00000000000000\ _р_._-;_-* &quot;-&quot;??\ _р_._-;_-@_-"/>
    <numFmt numFmtId="190" formatCode="_-* #,##0.000000000000000\ _р_._-;\-* #,##0.000000000000000\ _р_._-;_-* &quot;-&quot;??\ _р_._-;_-@_-"/>
    <numFmt numFmtId="191" formatCode="_-* #,##0.0000000000000000\ _р_._-;\-* #,##0.0000000000000000\ _р_._-;_-* &quot;-&quot;??\ _р_._-;_-@_-"/>
    <numFmt numFmtId="192" formatCode="_-* #,##0.00000000000000000\ _р_._-;\-* #,##0.00000000000000000\ _р_._-;_-* &quot;-&quot;??\ _р_._-;_-@_-"/>
    <numFmt numFmtId="193" formatCode="_-* #,##0.000000000000000000\ _р_._-;\-* #,##0.000000000000000000\ _р_._-;_-* &quot;-&quot;??\ _р_._-;_-@_-"/>
    <numFmt numFmtId="194" formatCode="_-* #,##0.0000000000000000000\ _р_._-;\-* #,##0.0000000000000000000\ _р_._-;_-* &quot;-&quot;??\ _р_._-;_-@_-"/>
    <numFmt numFmtId="195" formatCode="_-* #,##0.00000000000000000000\ _р_._-;\-* #,##0.00000000000000000000\ _р_._-;_-* &quot;-&quot;??\ _р_._-;_-@_-"/>
    <numFmt numFmtId="196" formatCode="_-* #,##0.000000000000000000000\ _р_._-;\-* #,##0.000000000000000000000\ _р_._-;_-* &quot;-&quot;??\ _р_._-;_-@_-"/>
    <numFmt numFmtId="197" formatCode="_-* #,##0.0000000000000000000000\ _р_._-;\-* #,##0.0000000000000000000000\ _р_._-;_-* &quot;-&quot;??\ _р_._-;_-@_-"/>
    <numFmt numFmtId="198" formatCode="_-* #,##0.00000000000000000000000\ _р_._-;\-* #,##0.00000000000000000000000\ _р_._-;_-* &quot;-&quot;??\ _р_._-;_-@_-"/>
    <numFmt numFmtId="199" formatCode="_-* #,##0.000000000000000000000000\ _р_._-;\-* #,##0.000000000000000000000000\ _р_._-;_-* &quot;-&quot;??\ _р_._-;_-@_-"/>
    <numFmt numFmtId="200" formatCode="_-* #,##0.0000000000000000000000000\ _р_._-;\-* #,##0.0000000000000000000000000\ _р_._-;_-* &quot;-&quot;??\ _р_._-;_-@_-"/>
    <numFmt numFmtId="201" formatCode="_-* #,##0.00000000000000000000000000\ _р_._-;\-* #,##0.00000000000000000000000000\ _р_._-;_-* &quot;-&quot;??\ _р_._-;_-@_-"/>
    <numFmt numFmtId="202" formatCode="_-* #,##0.0\ _р_._-;\-* #,##0.0\ _р_._-;_-* &quot;-&quot;??\ _р_._-;_-@_-"/>
    <numFmt numFmtId="203" formatCode="_-* #,##0\ _р_._-;\-* #,##0\ _р_._-;_-* &quot;-&quot;??\ _р_._-;_-@_-"/>
    <numFmt numFmtId="204" formatCode="0.0"/>
    <numFmt numFmtId="205" formatCode="#,##0.0"/>
    <numFmt numFmtId="206" formatCode="#,##0_ ;[Red]\-#,##0\ "/>
    <numFmt numFmtId="207" formatCode="#,##0.0_ ;[Red]\-#,##0.0\ "/>
    <numFmt numFmtId="208" formatCode="_-* #,##0_р_._-;\-* #,##0_р_._-;_-* &quot;-&quot;??_р_._-;_-@_-"/>
    <numFmt numFmtId="209" formatCode="0.0_ ;[Red]\-0.0\ "/>
    <numFmt numFmtId="210" formatCode="#,##0.000"/>
    <numFmt numFmtId="211" formatCode="#,##0.0000"/>
    <numFmt numFmtId="212" formatCode="#,##0.00000"/>
    <numFmt numFmtId="213" formatCode="#,##0.000000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Arial Cyr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55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8" fillId="0" borderId="0" xfId="0" applyFont="1" applyFill="1" applyAlignment="1" applyProtection="1">
      <alignment/>
      <protection/>
    </xf>
    <xf numFmtId="205" fontId="9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 horizontal="center" vertical="center"/>
      <protection locked="0"/>
    </xf>
    <xf numFmtId="205" fontId="13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wrapText="1"/>
      <protection/>
    </xf>
    <xf numFmtId="205" fontId="1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3" fontId="11" fillId="0" borderId="0" xfId="0" applyNumberFormat="1" applyFont="1" applyFill="1" applyBorder="1" applyAlignment="1" applyProtection="1">
      <alignment/>
      <protection/>
    </xf>
    <xf numFmtId="205" fontId="13" fillId="0" borderId="0" xfId="0" applyNumberFormat="1" applyFont="1" applyFill="1" applyBorder="1" applyAlignment="1" applyProtection="1">
      <alignment horizontal="center" vertical="center"/>
      <protection/>
    </xf>
    <xf numFmtId="3" fontId="16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205" fontId="16" fillId="0" borderId="0" xfId="0" applyNumberFormat="1" applyFont="1" applyFill="1" applyBorder="1" applyAlignment="1" applyProtection="1">
      <alignment horizontal="center" vertical="center"/>
      <protection locked="0"/>
    </xf>
    <xf numFmtId="205" fontId="17" fillId="0" borderId="0" xfId="0" applyNumberFormat="1" applyFont="1" applyFill="1" applyBorder="1" applyAlignment="1" applyProtection="1">
      <alignment vertical="center"/>
      <protection/>
    </xf>
    <xf numFmtId="205" fontId="16" fillId="0" borderId="0" xfId="0" applyNumberFormat="1" applyFont="1" applyFill="1" applyBorder="1" applyAlignment="1" applyProtection="1">
      <alignment vertical="center" wrapText="1"/>
      <protection/>
    </xf>
    <xf numFmtId="205" fontId="9" fillId="0" borderId="0" xfId="0" applyNumberFormat="1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wrapText="1"/>
      <protection/>
    </xf>
    <xf numFmtId="3" fontId="16" fillId="0" borderId="0" xfId="0" applyNumberFormat="1" applyFont="1" applyFill="1" applyBorder="1" applyAlignment="1" applyProtection="1">
      <alignment horizontal="right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205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/>
      <protection locked="0"/>
    </xf>
    <xf numFmtId="205" fontId="8" fillId="0" borderId="10" xfId="0" applyNumberFormat="1" applyFont="1" applyFill="1" applyBorder="1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205" fontId="8" fillId="0" borderId="10" xfId="0" applyNumberFormat="1" applyFont="1" applyFill="1" applyBorder="1" applyAlignment="1" applyProtection="1">
      <alignment/>
      <protection/>
    </xf>
    <xf numFmtId="0" fontId="16" fillId="0" borderId="10" xfId="0" applyFont="1" applyFill="1" applyBorder="1" applyAlignment="1" applyProtection="1">
      <alignment vertical="center"/>
      <protection/>
    </xf>
    <xf numFmtId="205" fontId="16" fillId="0" borderId="10" xfId="0" applyNumberFormat="1" applyFont="1" applyFill="1" applyBorder="1" applyAlignment="1" applyProtection="1">
      <alignment vertical="center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9" fillId="0" borderId="10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>
      <alignment horizontal="center"/>
    </xf>
    <xf numFmtId="0" fontId="16" fillId="0" borderId="10" xfId="0" applyFont="1" applyFill="1" applyBorder="1" applyAlignment="1" applyProtection="1">
      <alignment/>
      <protection locked="0"/>
    </xf>
    <xf numFmtId="205" fontId="16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204" fontId="8" fillId="0" borderId="10" xfId="0" applyNumberFormat="1" applyFont="1" applyFill="1" applyBorder="1" applyAlignment="1" applyProtection="1">
      <alignment/>
      <protection/>
    </xf>
    <xf numFmtId="205" fontId="20" fillId="0" borderId="10" xfId="0" applyNumberFormat="1" applyFont="1" applyFill="1" applyBorder="1" applyAlignment="1" applyProtection="1">
      <alignment/>
      <protection/>
    </xf>
    <xf numFmtId="205" fontId="20" fillId="0" borderId="10" xfId="0" applyNumberFormat="1" applyFont="1" applyFill="1" applyBorder="1" applyAlignment="1" applyProtection="1">
      <alignment/>
      <protection locked="0"/>
    </xf>
    <xf numFmtId="205" fontId="21" fillId="0" borderId="10" xfId="0" applyNumberFormat="1" applyFont="1" applyFill="1" applyBorder="1" applyAlignment="1">
      <alignment/>
    </xf>
    <xf numFmtId="205" fontId="16" fillId="0" borderId="1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205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6" fillId="0" borderId="0" xfId="0" applyFont="1" applyFill="1" applyBorder="1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 applyProtection="1">
      <alignment horizontal="center" vertical="top"/>
      <protection/>
    </xf>
    <xf numFmtId="205" fontId="12" fillId="0" borderId="0" xfId="0" applyNumberFormat="1" applyFont="1" applyFill="1" applyBorder="1" applyAlignment="1" applyProtection="1">
      <alignment horizontal="center" vertical="center" wrapText="1"/>
      <protection/>
    </xf>
    <xf numFmtId="205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8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070;&#1044;&#1046;&#1045;&#1058;\2012%20&#1075;&#1086;&#1076;\&#1055;&#1056;&#1054;&#1045;&#1050;&#1058;\&#1055;&#1056;&#1054;&#1045;&#1050;&#1058;%20(&#1087;&#1086;&#1089;&#1083;&#1077;&#1076;&#1085;&#1080;&#1081;%20&#1074;&#1072;&#1088;&#1080;&#1072;&#1085;&#1090;)\&#1055;&#1088;&#1080;&#1083;&#1086;&#1078;&#1077;&#1085;&#1080;&#1077;%206,7&#1072;&#1072;&#107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070;&#1044;&#1046;&#1045;&#1058;\2014%20&#1075;&#1086;&#1076;\2014%20&#1075;&#1086;&#1076;\&#1055;&#1088;&#1086;&#1077;&#1082;&#1090;%20&#1073;&#1102;&#1076;&#1078;&#1077;&#1090;&#1072;\3%20&#1074;&#1072;&#1088;&#1080;&#1072;&#1085;&#1090;\&#1058;&#1072;&#1073;&#1083;&#1080;&#1094;&#1072;%20&#1088;&#1072;&#1089;&#1095;&#1105;&#1090;&#1072;%20&#1076;&#1086;&#1090;&#1072;&#1094;&#1080;&#1081;%20&#1087;&#1086;&#1089;&#1077;&#1083;&#1077;&#1085;&#1080;&#1103;&#1084;%20&#1076;&#1083;&#1103;%20&#1084;.&#1088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 6"/>
      <sheetName val="№ 7"/>
      <sheetName val="Модуль1"/>
    </sheetNames>
    <definedNames>
      <definedName name="Подбор_параметра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тации"/>
      <sheetName val="Дотации (2)"/>
      <sheetName val="Модуль1"/>
    </sheetNames>
    <sheetDataSet>
      <sheetData sheetId="0">
        <row r="19">
          <cell r="H19">
            <v>2520.0262355797095</v>
          </cell>
        </row>
        <row r="20">
          <cell r="H20">
            <v>868.4408346043954</v>
          </cell>
        </row>
        <row r="21">
          <cell r="H21">
            <v>512.5146611097985</v>
          </cell>
        </row>
        <row r="22">
          <cell r="H22">
            <v>810.8554177318524</v>
          </cell>
        </row>
        <row r="23">
          <cell r="H23">
            <v>2100.593693742078</v>
          </cell>
        </row>
        <row r="24">
          <cell r="H24">
            <v>791.7094777546242</v>
          </cell>
        </row>
        <row r="25">
          <cell r="H25">
            <v>1699.1885213431008</v>
          </cell>
        </row>
        <row r="26">
          <cell r="H26">
            <v>896.2803342714132</v>
          </cell>
        </row>
        <row r="27">
          <cell r="H27">
            <v>1595.4732486197342</v>
          </cell>
        </row>
        <row r="28">
          <cell r="H28">
            <v>1298.0173419407506</v>
          </cell>
        </row>
        <row r="29">
          <cell r="H29">
            <v>1175.9558181701004</v>
          </cell>
        </row>
        <row r="30">
          <cell r="H30">
            <v>1011.682692216804</v>
          </cell>
        </row>
        <row r="31">
          <cell r="H31">
            <v>2153.3554847579976</v>
          </cell>
        </row>
        <row r="32">
          <cell r="H32">
            <v>1256.0963670540732</v>
          </cell>
        </row>
        <row r="33">
          <cell r="H33">
            <v>2653.129890438034</v>
          </cell>
        </row>
        <row r="34">
          <cell r="H34">
            <v>3412.704195793681</v>
          </cell>
        </row>
        <row r="35">
          <cell r="H35">
            <v>1509.9757848718557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I39"/>
  <sheetViews>
    <sheetView showZeros="0" view="pageBreakPreview" zoomScaleNormal="85" zoomScaleSheetLayoutView="100" zoomScalePageLayoutView="0" workbookViewId="0" topLeftCell="A1">
      <pane xSplit="2" ySplit="20" topLeftCell="C3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3" sqref="B23"/>
    </sheetView>
  </sheetViews>
  <sheetFormatPr defaultColWidth="8.875" defaultRowHeight="12.75"/>
  <cols>
    <col min="1" max="1" width="17.00390625" style="4" hidden="1" customWidth="1"/>
    <col min="2" max="2" width="41.125" style="4" customWidth="1"/>
    <col min="3" max="3" width="12.875" style="4" customWidth="1"/>
    <col min="4" max="4" width="13.00390625" style="4" customWidth="1"/>
    <col min="5" max="5" width="16.375" style="4" customWidth="1"/>
    <col min="6" max="6" width="18.00390625" style="4" customWidth="1"/>
    <col min="7" max="7" width="20.25390625" style="4" customWidth="1"/>
    <col min="8" max="8" width="12.125" style="4" customWidth="1"/>
    <col min="9" max="9" width="9.125" style="4" customWidth="1"/>
    <col min="10" max="16384" width="8.875" style="4" customWidth="1"/>
  </cols>
  <sheetData>
    <row r="1" spans="1:8" ht="12.75" hidden="1">
      <c r="A1" s="54"/>
      <c r="B1" s="54"/>
      <c r="C1" s="54"/>
      <c r="D1" s="54"/>
      <c r="E1" s="54"/>
      <c r="F1" s="54"/>
      <c r="G1" s="54"/>
      <c r="H1" s="54"/>
    </row>
    <row r="2" spans="1:8" ht="22.5" customHeight="1" hidden="1">
      <c r="A2" s="53"/>
      <c r="B2" s="53"/>
      <c r="C2" s="53"/>
      <c r="D2" s="53"/>
      <c r="E2" s="53"/>
      <c r="F2" s="53"/>
      <c r="G2" s="53"/>
      <c r="H2" s="53"/>
    </row>
    <row r="3" spans="1:8" ht="12.75" hidden="1">
      <c r="A3" s="62" t="s">
        <v>16</v>
      </c>
      <c r="B3" s="5" t="s">
        <v>7</v>
      </c>
      <c r="C3" s="5"/>
      <c r="D3" s="5"/>
      <c r="E3" s="6">
        <v>1274</v>
      </c>
      <c r="F3" s="7">
        <f>IF(E3&lt;1,"Необходимо ввести объём средств, перечисляемых из ФК (РФФПП) !",IF(E4&lt;1,"Необходимо ввести положительно значение дополнительных средств",""))</f>
      </c>
      <c r="H3" s="8"/>
    </row>
    <row r="4" spans="1:8" ht="12.75" hidden="1">
      <c r="A4" s="62"/>
      <c r="B4" s="5" t="s">
        <v>13</v>
      </c>
      <c r="C4" s="5"/>
      <c r="D4" s="5"/>
      <c r="E4" s="6">
        <v>300</v>
      </c>
      <c r="F4" s="9"/>
      <c r="H4" s="8"/>
    </row>
    <row r="5" spans="1:8" ht="12.75" hidden="1">
      <c r="A5" s="62"/>
      <c r="B5" s="5" t="s">
        <v>5</v>
      </c>
      <c r="C5" s="5"/>
      <c r="D5" s="5"/>
      <c r="E5" s="10">
        <v>0.9</v>
      </c>
      <c r="F5" s="7">
        <f>IF(OR(E5&lt;0.6,E5&gt;0.9),"Значение коэффициента должно быть в пределах от 0,6 до 0,9","")</f>
      </c>
      <c r="H5" s="8"/>
    </row>
    <row r="6" ht="12.75" hidden="1">
      <c r="B6" s="7"/>
    </row>
    <row r="7" spans="2:9" s="1" customFormat="1" ht="63.75" customHeight="1">
      <c r="B7" s="2"/>
      <c r="C7" s="3"/>
      <c r="D7" s="3"/>
      <c r="E7" s="3"/>
      <c r="F7" s="65" t="s">
        <v>63</v>
      </c>
      <c r="G7" s="65"/>
      <c r="H7" s="65"/>
      <c r="I7" s="21"/>
    </row>
    <row r="8" ht="10.5" customHeight="1">
      <c r="B8" s="7"/>
    </row>
    <row r="9" ht="12.75" hidden="1">
      <c r="B9" s="7"/>
    </row>
    <row r="10" spans="2:8" ht="18.75">
      <c r="B10" s="61" t="s">
        <v>37</v>
      </c>
      <c r="C10" s="61"/>
      <c r="D10" s="61"/>
      <c r="E10" s="61"/>
      <c r="F10" s="61"/>
      <c r="G10" s="61"/>
      <c r="H10" s="61"/>
    </row>
    <row r="11" spans="1:8" ht="18.75">
      <c r="A11" s="11"/>
      <c r="B11" s="60" t="s">
        <v>38</v>
      </c>
      <c r="C11" s="60"/>
      <c r="D11" s="60"/>
      <c r="E11" s="60"/>
      <c r="F11" s="60"/>
      <c r="G11" s="60"/>
      <c r="H11" s="60"/>
    </row>
    <row r="12" spans="4:8" ht="12.75" customHeight="1">
      <c r="D12" s="7"/>
      <c r="E12" s="7"/>
      <c r="F12" s="7"/>
      <c r="G12" s="12"/>
      <c r="H12" s="4">
        <v>0</v>
      </c>
    </row>
    <row r="13" spans="1:8" s="3" customFormat="1" ht="19.5" customHeight="1">
      <c r="A13" s="55" t="s">
        <v>15</v>
      </c>
      <c r="B13" s="57" t="s">
        <v>39</v>
      </c>
      <c r="C13" s="57"/>
      <c r="D13" s="57"/>
      <c r="E13" s="57"/>
      <c r="F13" s="19">
        <f>E3</f>
        <v>1274</v>
      </c>
      <c r="G13" s="56">
        <f>IF(F14=G39,"","Необходим пересчёт дотаций!
Нажмите на кнопку 'Расчёт'!")</f>
      </c>
      <c r="H13" s="56"/>
    </row>
    <row r="14" spans="1:8" s="3" customFormat="1" ht="17.25" customHeight="1">
      <c r="A14" s="55"/>
      <c r="B14" s="57" t="s">
        <v>40</v>
      </c>
      <c r="C14" s="57"/>
      <c r="D14" s="57"/>
      <c r="E14" s="57"/>
      <c r="F14" s="19">
        <f>E4</f>
        <v>300</v>
      </c>
      <c r="G14" s="56"/>
      <c r="H14" s="56"/>
    </row>
    <row r="15" spans="1:8" s="3" customFormat="1" ht="12.75" customHeight="1">
      <c r="A15" s="55"/>
      <c r="B15" s="58" t="s">
        <v>41</v>
      </c>
      <c r="C15" s="58"/>
      <c r="D15" s="58"/>
      <c r="E15" s="58">
        <v>-37778706683311340</v>
      </c>
      <c r="F15" s="22">
        <f>SUM(F13:F14)</f>
        <v>1574</v>
      </c>
      <c r="G15" s="56"/>
      <c r="H15" s="56"/>
    </row>
    <row r="16" spans="1:8" s="3" customFormat="1" ht="12.75" customHeight="1">
      <c r="A16" s="55"/>
      <c r="B16" s="14"/>
      <c r="F16" s="13"/>
      <c r="G16" s="56"/>
      <c r="H16" s="56"/>
    </row>
    <row r="17" spans="1:8" s="3" customFormat="1" ht="12.75" customHeight="1">
      <c r="A17" s="55"/>
      <c r="B17" s="59" t="s">
        <v>12</v>
      </c>
      <c r="C17" s="59"/>
      <c r="D17" s="59"/>
      <c r="E17" s="15">
        <v>456.9418960244648</v>
      </c>
      <c r="F17" s="16">
        <f>IF(G39&gt;F14,"меньше",IF(G39&lt;F14,"больше",""))</f>
      </c>
      <c r="G17" s="56"/>
      <c r="H17" s="56"/>
    </row>
    <row r="18" spans="1:7" s="3" customFormat="1" ht="12.75" customHeight="1">
      <c r="A18" s="17"/>
      <c r="G18" s="18"/>
    </row>
    <row r="19" spans="1:8" s="3" customFormat="1" ht="12.75" customHeight="1">
      <c r="A19" s="17"/>
      <c r="B19" s="64" t="s">
        <v>6</v>
      </c>
      <c r="C19" s="64" t="s">
        <v>17</v>
      </c>
      <c r="D19" s="64" t="s">
        <v>42</v>
      </c>
      <c r="E19" s="64" t="s">
        <v>18</v>
      </c>
      <c r="F19" s="63" t="s">
        <v>11</v>
      </c>
      <c r="G19" s="63"/>
      <c r="H19" s="63"/>
    </row>
    <row r="20" spans="2:8" s="3" customFormat="1" ht="94.5">
      <c r="B20" s="64"/>
      <c r="C20" s="64"/>
      <c r="D20" s="64"/>
      <c r="E20" s="64"/>
      <c r="F20" s="24" t="s">
        <v>14</v>
      </c>
      <c r="G20" s="24" t="str">
        <f>"2-я часть (исходя расчётной бюджетной обеспеченности)
["&amp;ROUND(E17,1)&amp;"-(4)]х
(3)/1000х"&amp;E5</f>
        <v>2-я часть (исходя расчётной бюджетной обеспеченности)
[456,9-(4)]х
(3)/1000х0,9</v>
      </c>
      <c r="H20" s="23" t="s">
        <v>19</v>
      </c>
    </row>
    <row r="21" spans="2:8" s="3" customFormat="1" ht="15.75">
      <c r="B21" s="25" t="s">
        <v>1</v>
      </c>
      <c r="C21" s="25" t="s">
        <v>2</v>
      </c>
      <c r="D21" s="25" t="s">
        <v>3</v>
      </c>
      <c r="E21" s="25" t="s">
        <v>4</v>
      </c>
      <c r="F21" s="25" t="s">
        <v>8</v>
      </c>
      <c r="G21" s="25" t="s">
        <v>9</v>
      </c>
      <c r="H21" s="25" t="s">
        <v>10</v>
      </c>
    </row>
    <row r="22" spans="1:8" s="3" customFormat="1" ht="15.75">
      <c r="A22" s="3">
        <v>1</v>
      </c>
      <c r="B22" s="26" t="s">
        <v>20</v>
      </c>
      <c r="C22" s="27">
        <v>22866</v>
      </c>
      <c r="D22" s="28">
        <v>13380</v>
      </c>
      <c r="E22" s="29">
        <f>IF(D22&gt;0,C22/D22*1000,"")</f>
        <v>1708.9686098654709</v>
      </c>
      <c r="F22" s="29">
        <f aca="true" t="shared" si="0" ref="F22:F38">D22/D$39*F$13</f>
        <v>363.52647629609095</v>
      </c>
      <c r="G22" s="29">
        <f aca="true" t="shared" si="1" ref="G22:G38">IF($E$17&gt;E22,($E$17-E22)*D22/1000*$E$5,0)</f>
        <v>0</v>
      </c>
      <c r="H22" s="29">
        <f>G22+F22</f>
        <v>363.52647629609095</v>
      </c>
    </row>
    <row r="23" spans="1:8" s="3" customFormat="1" ht="15.75">
      <c r="A23" s="3">
        <v>2</v>
      </c>
      <c r="B23" s="26" t="s">
        <v>21</v>
      </c>
      <c r="C23" s="27">
        <v>503</v>
      </c>
      <c r="D23" s="28">
        <v>739</v>
      </c>
      <c r="E23" s="29">
        <f aca="true" t="shared" si="2" ref="E23:E38">IF(D23&gt;0,C23/D23*1000,"")</f>
        <v>680.6495263870095</v>
      </c>
      <c r="F23" s="29">
        <f t="shared" si="0"/>
        <v>20.07818131411145</v>
      </c>
      <c r="G23" s="29">
        <f t="shared" si="1"/>
        <v>0</v>
      </c>
      <c r="H23" s="29">
        <f aca="true" t="shared" si="3" ref="H23:H38">G23+F23</f>
        <v>20.07818131411145</v>
      </c>
    </row>
    <row r="24" spans="1:8" s="3" customFormat="1" ht="15.75">
      <c r="A24" s="3">
        <v>3</v>
      </c>
      <c r="B24" s="26" t="s">
        <v>22</v>
      </c>
      <c r="C24" s="27">
        <v>1240</v>
      </c>
      <c r="D24" s="28">
        <v>807</v>
      </c>
      <c r="E24" s="29">
        <f t="shared" si="2"/>
        <v>1536.5551425030978</v>
      </c>
      <c r="F24" s="29">
        <f t="shared" si="0"/>
        <v>21.92570002772387</v>
      </c>
      <c r="G24" s="29">
        <f t="shared" si="1"/>
        <v>0</v>
      </c>
      <c r="H24" s="29">
        <f t="shared" si="3"/>
        <v>21.92570002772387</v>
      </c>
    </row>
    <row r="25" spans="1:8" s="3" customFormat="1" ht="15.75">
      <c r="A25" s="3">
        <v>4</v>
      </c>
      <c r="B25" s="26" t="s">
        <v>23</v>
      </c>
      <c r="C25" s="27">
        <v>1433</v>
      </c>
      <c r="D25" s="28">
        <v>1292</v>
      </c>
      <c r="E25" s="29">
        <f t="shared" si="2"/>
        <v>1109.1331269349844</v>
      </c>
      <c r="F25" s="29">
        <f t="shared" si="0"/>
        <v>35.10285555863599</v>
      </c>
      <c r="G25" s="29">
        <f t="shared" si="1"/>
        <v>0</v>
      </c>
      <c r="H25" s="29">
        <f t="shared" si="3"/>
        <v>35.10285555863599</v>
      </c>
    </row>
    <row r="26" spans="1:8" s="3" customFormat="1" ht="15.75">
      <c r="A26" s="3">
        <v>5</v>
      </c>
      <c r="B26" s="26" t="s">
        <v>24</v>
      </c>
      <c r="C26" s="27">
        <v>827</v>
      </c>
      <c r="D26" s="28">
        <v>1597</v>
      </c>
      <c r="E26" s="29">
        <f t="shared" si="2"/>
        <v>517.8459611772073</v>
      </c>
      <c r="F26" s="29">
        <f t="shared" si="0"/>
        <v>43.38952037704463</v>
      </c>
      <c r="G26" s="29">
        <f t="shared" si="1"/>
        <v>0</v>
      </c>
      <c r="H26" s="29">
        <f t="shared" si="3"/>
        <v>43.38952037704463</v>
      </c>
    </row>
    <row r="27" spans="1:8" s="3" customFormat="1" ht="15.75">
      <c r="A27" s="3">
        <v>6</v>
      </c>
      <c r="B27" s="26" t="s">
        <v>25</v>
      </c>
      <c r="C27" s="27">
        <v>1038</v>
      </c>
      <c r="D27" s="28">
        <v>1182</v>
      </c>
      <c r="E27" s="29">
        <f t="shared" si="2"/>
        <v>878.1725888324872</v>
      </c>
      <c r="F27" s="29">
        <f t="shared" si="0"/>
        <v>32.11422234543942</v>
      </c>
      <c r="G27" s="29">
        <f t="shared" si="1"/>
        <v>0</v>
      </c>
      <c r="H27" s="29">
        <f t="shared" si="3"/>
        <v>32.11422234543942</v>
      </c>
    </row>
    <row r="28" spans="1:8" s="3" customFormat="1" ht="15.75">
      <c r="A28" s="3">
        <v>7</v>
      </c>
      <c r="B28" s="26" t="s">
        <v>26</v>
      </c>
      <c r="C28" s="27">
        <v>816</v>
      </c>
      <c r="D28" s="28">
        <v>1600</v>
      </c>
      <c r="E28" s="29">
        <f t="shared" si="2"/>
        <v>510</v>
      </c>
      <c r="F28" s="29">
        <f t="shared" si="0"/>
        <v>43.47102855558636</v>
      </c>
      <c r="G28" s="29">
        <f t="shared" si="1"/>
        <v>0</v>
      </c>
      <c r="H28" s="29">
        <f t="shared" si="3"/>
        <v>43.47102855558636</v>
      </c>
    </row>
    <row r="29" spans="1:8" s="3" customFormat="1" ht="15.75">
      <c r="A29" s="3">
        <v>8</v>
      </c>
      <c r="B29" s="26" t="s">
        <v>27</v>
      </c>
      <c r="C29" s="27">
        <v>538</v>
      </c>
      <c r="D29" s="28">
        <v>1196</v>
      </c>
      <c r="E29" s="29">
        <f t="shared" si="2"/>
        <v>449.8327759197324</v>
      </c>
      <c r="F29" s="29">
        <f t="shared" si="0"/>
        <v>32.494593845300805</v>
      </c>
      <c r="G29" s="29">
        <f t="shared" si="1"/>
        <v>7.652256880733984</v>
      </c>
      <c r="H29" s="29">
        <f t="shared" si="3"/>
        <v>40.14685072603479</v>
      </c>
    </row>
    <row r="30" spans="1:8" s="3" customFormat="1" ht="15.75">
      <c r="A30" s="3">
        <v>9</v>
      </c>
      <c r="B30" s="26" t="s">
        <v>28</v>
      </c>
      <c r="C30" s="27">
        <v>693</v>
      </c>
      <c r="D30" s="28">
        <v>1196</v>
      </c>
      <c r="E30" s="29">
        <f t="shared" si="2"/>
        <v>579.4314381270904</v>
      </c>
      <c r="F30" s="29">
        <f t="shared" si="0"/>
        <v>32.494593845300805</v>
      </c>
      <c r="G30" s="29">
        <f t="shared" si="1"/>
        <v>0</v>
      </c>
      <c r="H30" s="29">
        <f t="shared" si="3"/>
        <v>32.494593845300805</v>
      </c>
    </row>
    <row r="31" spans="1:8" s="3" customFormat="1" ht="15.75">
      <c r="A31" s="3">
        <v>10</v>
      </c>
      <c r="B31" s="26" t="s">
        <v>29</v>
      </c>
      <c r="C31" s="27">
        <v>294</v>
      </c>
      <c r="D31" s="28">
        <v>951</v>
      </c>
      <c r="E31" s="29">
        <f t="shared" si="2"/>
        <v>309.1482649842271</v>
      </c>
      <c r="F31" s="29">
        <f t="shared" si="0"/>
        <v>25.838092597726643</v>
      </c>
      <c r="G31" s="29">
        <f t="shared" si="1"/>
        <v>126.49656880733946</v>
      </c>
      <c r="H31" s="29">
        <f t="shared" si="3"/>
        <v>152.3346614050661</v>
      </c>
    </row>
    <row r="32" spans="1:8" s="3" customFormat="1" ht="15.75">
      <c r="A32" s="3">
        <v>11</v>
      </c>
      <c r="B32" s="26" t="s">
        <v>30</v>
      </c>
      <c r="C32" s="27">
        <v>792</v>
      </c>
      <c r="D32" s="28">
        <v>1265</v>
      </c>
      <c r="E32" s="29">
        <f t="shared" si="2"/>
        <v>626.0869565217391</v>
      </c>
      <c r="F32" s="29">
        <f t="shared" si="0"/>
        <v>34.36928195176046</v>
      </c>
      <c r="G32" s="29">
        <f t="shared" si="1"/>
        <v>0</v>
      </c>
      <c r="H32" s="29">
        <f t="shared" si="3"/>
        <v>34.36928195176046</v>
      </c>
    </row>
    <row r="33" spans="1:8" s="3" customFormat="1" ht="15.75">
      <c r="A33" s="3">
        <v>12</v>
      </c>
      <c r="B33" s="26" t="s">
        <v>31</v>
      </c>
      <c r="C33" s="27">
        <v>369</v>
      </c>
      <c r="D33" s="28">
        <v>714</v>
      </c>
      <c r="E33" s="29">
        <f t="shared" si="2"/>
        <v>516.8067226890756</v>
      </c>
      <c r="F33" s="29">
        <f t="shared" si="0"/>
        <v>19.398946492930413</v>
      </c>
      <c r="G33" s="29">
        <f t="shared" si="1"/>
        <v>0</v>
      </c>
      <c r="H33" s="29">
        <f t="shared" si="3"/>
        <v>19.398946492930413</v>
      </c>
    </row>
    <row r="34" spans="1:8" s="3" customFormat="1" ht="15.75">
      <c r="A34" s="3">
        <v>13</v>
      </c>
      <c r="B34" s="26" t="s">
        <v>32</v>
      </c>
      <c r="C34" s="27">
        <v>749</v>
      </c>
      <c r="D34" s="28">
        <v>1886</v>
      </c>
      <c r="E34" s="29">
        <f t="shared" si="2"/>
        <v>397.13679745493107</v>
      </c>
      <c r="F34" s="29">
        <f t="shared" si="0"/>
        <v>51.24147490989742</v>
      </c>
      <c r="G34" s="29">
        <f t="shared" si="1"/>
        <v>101.51317431192659</v>
      </c>
      <c r="H34" s="29">
        <f t="shared" si="3"/>
        <v>152.75464922182402</v>
      </c>
    </row>
    <row r="35" spans="1:8" s="3" customFormat="1" ht="15.75">
      <c r="A35" s="3">
        <v>14</v>
      </c>
      <c r="B35" s="26" t="s">
        <v>33</v>
      </c>
      <c r="C35" s="27">
        <v>13613</v>
      </c>
      <c r="D35" s="28">
        <v>9346</v>
      </c>
      <c r="E35" s="29">
        <f t="shared" si="2"/>
        <v>1456.5589557029746</v>
      </c>
      <c r="F35" s="29">
        <f t="shared" si="0"/>
        <v>253.92514555031883</v>
      </c>
      <c r="G35" s="29">
        <f t="shared" si="1"/>
        <v>0</v>
      </c>
      <c r="H35" s="29">
        <f t="shared" si="3"/>
        <v>253.92514555031883</v>
      </c>
    </row>
    <row r="36" spans="1:8" s="3" customFormat="1" ht="15.75">
      <c r="A36" s="3">
        <v>15</v>
      </c>
      <c r="B36" s="26" t="s">
        <v>34</v>
      </c>
      <c r="C36" s="27">
        <v>3529</v>
      </c>
      <c r="D36" s="28">
        <v>3563</v>
      </c>
      <c r="E36" s="29">
        <f t="shared" si="2"/>
        <v>990.4574796519787</v>
      </c>
      <c r="F36" s="29">
        <f t="shared" si="0"/>
        <v>96.80454671472138</v>
      </c>
      <c r="G36" s="29">
        <f t="shared" si="1"/>
        <v>0</v>
      </c>
      <c r="H36" s="29">
        <f t="shared" si="3"/>
        <v>96.80454671472138</v>
      </c>
    </row>
    <row r="37" spans="1:8" s="3" customFormat="1" ht="15.75">
      <c r="A37" s="3">
        <v>16</v>
      </c>
      <c r="B37" s="26" t="s">
        <v>35</v>
      </c>
      <c r="C37" s="27">
        <v>4150</v>
      </c>
      <c r="D37" s="28">
        <v>4760</v>
      </c>
      <c r="E37" s="29">
        <f t="shared" si="2"/>
        <v>871.8487394957983</v>
      </c>
      <c r="F37" s="29">
        <f t="shared" si="0"/>
        <v>129.32630995286942</v>
      </c>
      <c r="G37" s="29">
        <f t="shared" si="1"/>
        <v>0</v>
      </c>
      <c r="H37" s="29">
        <f t="shared" si="3"/>
        <v>129.32630995286942</v>
      </c>
    </row>
    <row r="38" spans="1:8" s="3" customFormat="1" ht="15.75">
      <c r="A38" s="3">
        <v>17</v>
      </c>
      <c r="B38" s="26" t="s">
        <v>36</v>
      </c>
      <c r="C38" s="27">
        <v>576</v>
      </c>
      <c r="D38" s="28">
        <v>1417</v>
      </c>
      <c r="E38" s="29">
        <f t="shared" si="2"/>
        <v>406.4925899788285</v>
      </c>
      <c r="F38" s="29">
        <f t="shared" si="0"/>
        <v>38.49902966454117</v>
      </c>
      <c r="G38" s="29">
        <f t="shared" si="1"/>
        <v>64.338</v>
      </c>
      <c r="H38" s="29">
        <f t="shared" si="3"/>
        <v>102.83702966454116</v>
      </c>
    </row>
    <row r="39" spans="2:8" s="20" customFormat="1" ht="18" customHeight="1">
      <c r="B39" s="30" t="s">
        <v>0</v>
      </c>
      <c r="C39" s="31">
        <f>SUM(C22:C38)</f>
        <v>54026</v>
      </c>
      <c r="D39" s="32">
        <f>SUM(D22:D38)</f>
        <v>46891</v>
      </c>
      <c r="E39" s="31">
        <f>C39/D39*1000</f>
        <v>1152.1613955769765</v>
      </c>
      <c r="F39" s="31">
        <f>ROUND(SUM(F22:F38),1)</f>
        <v>1274</v>
      </c>
      <c r="G39" s="31">
        <f>SUM(G22:G38)</f>
        <v>300</v>
      </c>
      <c r="H39" s="31">
        <f>SUM(H22:H38)</f>
        <v>1574.0000000000002</v>
      </c>
    </row>
  </sheetData>
  <sheetProtection deleteRows="0"/>
  <mergeCells count="17">
    <mergeCell ref="A3:A5"/>
    <mergeCell ref="F19:H19"/>
    <mergeCell ref="B19:B20"/>
    <mergeCell ref="C19:C20"/>
    <mergeCell ref="D19:D20"/>
    <mergeCell ref="E19:E20"/>
    <mergeCell ref="F7:H7"/>
    <mergeCell ref="A2:H2"/>
    <mergeCell ref="A1:H1"/>
    <mergeCell ref="A13:A17"/>
    <mergeCell ref="G13:H17"/>
    <mergeCell ref="B13:E13"/>
    <mergeCell ref="B15:E15"/>
    <mergeCell ref="B17:D17"/>
    <mergeCell ref="B14:E14"/>
    <mergeCell ref="B11:H11"/>
    <mergeCell ref="B10:H10"/>
  </mergeCells>
  <printOptions horizontalCentered="1"/>
  <pageMargins left="0.1968503937007874" right="0.31" top="0.35" bottom="0.31" header="0.18" footer="0.2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4.375" style="33" customWidth="1"/>
    <col min="2" max="2" width="37.00390625" style="33" customWidth="1"/>
    <col min="3" max="3" width="11.375" style="33" customWidth="1"/>
    <col min="4" max="4" width="13.25390625" style="33" customWidth="1"/>
    <col min="5" max="5" width="14.00390625" style="33" customWidth="1"/>
    <col min="6" max="6" width="12.375" style="33" customWidth="1"/>
    <col min="7" max="7" width="13.00390625" style="33" customWidth="1"/>
    <col min="8" max="8" width="13.125" style="33" customWidth="1"/>
    <col min="9" max="9" width="11.375" style="33" hidden="1" customWidth="1"/>
    <col min="10" max="10" width="12.75390625" style="33" customWidth="1"/>
    <col min="11" max="11" width="15.125" style="33" customWidth="1"/>
    <col min="12" max="16384" width="9.125" style="33" customWidth="1"/>
  </cols>
  <sheetData>
    <row r="1" spans="6:11" ht="15.75">
      <c r="F1" s="34"/>
      <c r="G1" s="66" t="s">
        <v>65</v>
      </c>
      <c r="H1" s="66"/>
      <c r="I1" s="66"/>
      <c r="J1" s="66"/>
      <c r="K1" s="66"/>
    </row>
    <row r="2" spans="6:11" ht="15.75">
      <c r="F2" s="34"/>
      <c r="G2" s="66" t="s">
        <v>43</v>
      </c>
      <c r="H2" s="66"/>
      <c r="I2" s="66"/>
      <c r="J2" s="66"/>
      <c r="K2" s="66"/>
    </row>
    <row r="3" spans="6:11" ht="15.75">
      <c r="F3" s="34"/>
      <c r="G3" s="66" t="s">
        <v>66</v>
      </c>
      <c r="H3" s="66"/>
      <c r="I3" s="66"/>
      <c r="J3" s="66"/>
      <c r="K3" s="66"/>
    </row>
    <row r="4" spans="6:11" ht="15.75">
      <c r="F4" s="34"/>
      <c r="G4" s="66" t="s">
        <v>67</v>
      </c>
      <c r="H4" s="66"/>
      <c r="I4" s="66"/>
      <c r="J4" s="66"/>
      <c r="K4" s="66"/>
    </row>
    <row r="6" spans="2:10" ht="18.75">
      <c r="B6" s="67" t="s">
        <v>64</v>
      </c>
      <c r="C6" s="67"/>
      <c r="D6" s="67"/>
      <c r="E6" s="67"/>
      <c r="F6" s="67"/>
      <c r="G6" s="67"/>
      <c r="H6" s="67"/>
      <c r="I6" s="67"/>
      <c r="J6" s="35"/>
    </row>
    <row r="7" spans="2:10" ht="18.75">
      <c r="B7" s="67" t="s">
        <v>38</v>
      </c>
      <c r="C7" s="67"/>
      <c r="D7" s="67"/>
      <c r="E7" s="67"/>
      <c r="F7" s="67"/>
      <c r="G7" s="67"/>
      <c r="H7" s="67"/>
      <c r="I7" s="67"/>
      <c r="J7" s="35"/>
    </row>
    <row r="8" spans="2:9" ht="18.75">
      <c r="B8" s="42"/>
      <c r="C8" s="42"/>
      <c r="D8" s="42"/>
      <c r="E8" s="42"/>
      <c r="F8" s="42"/>
      <c r="G8" s="42"/>
      <c r="H8" s="42"/>
      <c r="I8" s="42"/>
    </row>
    <row r="9" ht="15.75">
      <c r="K9" s="36" t="s">
        <v>44</v>
      </c>
    </row>
    <row r="10" spans="1:11" ht="36" customHeight="1">
      <c r="A10" s="43" t="s">
        <v>45</v>
      </c>
      <c r="B10" s="44"/>
      <c r="C10" s="68" t="s">
        <v>46</v>
      </c>
      <c r="D10" s="69"/>
      <c r="E10" s="69"/>
      <c r="F10" s="70"/>
      <c r="G10" s="71" t="s">
        <v>47</v>
      </c>
      <c r="H10" s="74" t="s">
        <v>48</v>
      </c>
      <c r="I10" s="43" t="s">
        <v>49</v>
      </c>
      <c r="J10" s="74" t="s">
        <v>50</v>
      </c>
      <c r="K10" s="74" t="s">
        <v>51</v>
      </c>
    </row>
    <row r="11" spans="1:11" ht="51.75" customHeight="1">
      <c r="A11" s="45" t="s">
        <v>52</v>
      </c>
      <c r="B11" s="45" t="s">
        <v>53</v>
      </c>
      <c r="C11" s="74" t="s">
        <v>54</v>
      </c>
      <c r="D11" s="74" t="s">
        <v>55</v>
      </c>
      <c r="E11" s="74" t="s">
        <v>56</v>
      </c>
      <c r="F11" s="74" t="s">
        <v>57</v>
      </c>
      <c r="G11" s="72"/>
      <c r="H11" s="75"/>
      <c r="I11" s="45" t="s">
        <v>58</v>
      </c>
      <c r="J11" s="75"/>
      <c r="K11" s="75"/>
    </row>
    <row r="12" spans="1:11" ht="41.25" customHeight="1">
      <c r="A12" s="46"/>
      <c r="B12" s="47"/>
      <c r="C12" s="76"/>
      <c r="D12" s="76"/>
      <c r="E12" s="76"/>
      <c r="F12" s="76"/>
      <c r="G12" s="73"/>
      <c r="H12" s="76"/>
      <c r="I12" s="46" t="s">
        <v>59</v>
      </c>
      <c r="J12" s="76"/>
      <c r="K12" s="76"/>
    </row>
    <row r="13" spans="1:11" s="34" customFormat="1" ht="15.75">
      <c r="A13" s="37">
        <v>1</v>
      </c>
      <c r="B13" s="37">
        <v>2</v>
      </c>
      <c r="C13" s="37">
        <v>3</v>
      </c>
      <c r="D13" s="37">
        <v>4</v>
      </c>
      <c r="E13" s="37">
        <v>5</v>
      </c>
      <c r="F13" s="37" t="s">
        <v>60</v>
      </c>
      <c r="G13" s="37">
        <v>7</v>
      </c>
      <c r="H13" s="37" t="s">
        <v>61</v>
      </c>
      <c r="I13" s="37"/>
      <c r="J13" s="37">
        <v>9</v>
      </c>
      <c r="K13" s="37">
        <v>10</v>
      </c>
    </row>
    <row r="14" spans="1:11" s="1" customFormat="1" ht="14.25" customHeight="1">
      <c r="A14" s="38">
        <v>1</v>
      </c>
      <c r="B14" s="26" t="s">
        <v>20</v>
      </c>
      <c r="C14" s="49">
        <f>'[2]Дотации'!$H$19</f>
        <v>2520.0262355797095</v>
      </c>
      <c r="D14" s="50">
        <v>29600</v>
      </c>
      <c r="E14" s="27">
        <v>8096</v>
      </c>
      <c r="F14" s="29">
        <f>SUM(C14:E14)</f>
        <v>40216.02623557971</v>
      </c>
      <c r="G14" s="48">
        <f>34095.1616</f>
        <v>34095.1616</v>
      </c>
      <c r="H14" s="29">
        <f>F14-G14</f>
        <v>6120.86463557971</v>
      </c>
      <c r="I14" s="29">
        <f>J14+H14</f>
        <v>9890.46463557971</v>
      </c>
      <c r="J14" s="29">
        <f>(D14+E14)*0.1</f>
        <v>3769.6000000000004</v>
      </c>
      <c r="K14" s="52">
        <f>IF(F14-G14&gt;0,0,IF(F14-G14&lt;0,-(J14+H14)))</f>
        <v>0</v>
      </c>
    </row>
    <row r="15" spans="1:11" s="1" customFormat="1" ht="14.25" customHeight="1">
      <c r="A15" s="38">
        <v>2</v>
      </c>
      <c r="B15" s="26" t="s">
        <v>21</v>
      </c>
      <c r="C15" s="49">
        <f>'[2]Дотации'!$H$20</f>
        <v>868.4408346043954</v>
      </c>
      <c r="D15" s="50">
        <v>885</v>
      </c>
      <c r="E15" s="27">
        <v>34.79</v>
      </c>
      <c r="F15" s="29">
        <f aca="true" t="shared" si="0" ref="F15:F30">SUM(C15:E15)</f>
        <v>1788.2308346043953</v>
      </c>
      <c r="G15" s="29">
        <f>1577.94611</f>
        <v>1577.94611</v>
      </c>
      <c r="H15" s="29">
        <f aca="true" t="shared" si="1" ref="H15:H30">F15-G15</f>
        <v>210.28472460439525</v>
      </c>
      <c r="I15" s="29">
        <f>J15+H15</f>
        <v>256.2742246043953</v>
      </c>
      <c r="J15" s="29">
        <f>(D15+E15)*0.05</f>
        <v>45.9895</v>
      </c>
      <c r="K15" s="52">
        <f>IF(F15-G15&gt;0,0,IF(F15-G15&lt;0,-(J15+H15)))</f>
        <v>0</v>
      </c>
    </row>
    <row r="16" spans="1:11" s="1" customFormat="1" ht="14.25" customHeight="1">
      <c r="A16" s="38">
        <v>3</v>
      </c>
      <c r="B16" s="26" t="s">
        <v>22</v>
      </c>
      <c r="C16" s="49">
        <f>'[2]Дотации'!$H$21</f>
        <v>512.5146611097985</v>
      </c>
      <c r="D16" s="50">
        <v>1966</v>
      </c>
      <c r="E16" s="27">
        <v>329.44</v>
      </c>
      <c r="F16" s="29">
        <f t="shared" si="0"/>
        <v>2807.9546611097985</v>
      </c>
      <c r="G16" s="29">
        <f>2625.16866</f>
        <v>2625.16866</v>
      </c>
      <c r="H16" s="29">
        <f t="shared" si="1"/>
        <v>182.7860011097987</v>
      </c>
      <c r="I16" s="29">
        <f aca="true" t="shared" si="2" ref="I16:I30">J16+H16</f>
        <v>412.3300011097987</v>
      </c>
      <c r="J16" s="29">
        <f>(D16+E16)*0.1</f>
        <v>229.544</v>
      </c>
      <c r="K16" s="52">
        <f>IF(F16-G16&gt;0,0,IF(F16-G16&lt;0,-(J16+H16)))</f>
        <v>0</v>
      </c>
    </row>
    <row r="17" spans="1:11" s="1" customFormat="1" ht="14.25" customHeight="1">
      <c r="A17" s="38">
        <v>4</v>
      </c>
      <c r="B17" s="26" t="s">
        <v>23</v>
      </c>
      <c r="C17" s="49">
        <f>'[2]Дотации'!$H$22</f>
        <v>810.8554177318524</v>
      </c>
      <c r="D17" s="50">
        <v>3419</v>
      </c>
      <c r="E17" s="27">
        <v>620.4</v>
      </c>
      <c r="F17" s="29">
        <f t="shared" si="0"/>
        <v>4850.2554177318525</v>
      </c>
      <c r="G17" s="29">
        <f>4413.1891</f>
        <v>4413.1891</v>
      </c>
      <c r="H17" s="29">
        <f t="shared" si="1"/>
        <v>437.0663177318529</v>
      </c>
      <c r="I17" s="29">
        <f t="shared" si="2"/>
        <v>841.006317731853</v>
      </c>
      <c r="J17" s="29">
        <f>(D17+E17)*0.1</f>
        <v>403.94000000000005</v>
      </c>
      <c r="K17" s="52">
        <f>IF(F17-G17&gt;0,0,IF(F17-G17&lt;0,-(J17+H17)))</f>
        <v>0</v>
      </c>
    </row>
    <row r="18" spans="1:11" s="1" customFormat="1" ht="14.25" customHeight="1">
      <c r="A18" s="38">
        <v>5</v>
      </c>
      <c r="B18" s="26" t="s">
        <v>24</v>
      </c>
      <c r="C18" s="49">
        <f>'[2]Дотации'!$H$23</f>
        <v>2100.593693742078</v>
      </c>
      <c r="D18" s="50">
        <v>2090</v>
      </c>
      <c r="E18" s="27">
        <v>377.525</v>
      </c>
      <c r="F18" s="29">
        <f t="shared" si="0"/>
        <v>4568.118693742077</v>
      </c>
      <c r="G18" s="29">
        <f>5884.50678</f>
        <v>5884.50678</v>
      </c>
      <c r="H18" s="29">
        <f t="shared" si="1"/>
        <v>-1316.3880862579226</v>
      </c>
      <c r="I18" s="29">
        <f t="shared" si="2"/>
        <v>-1193.0118362579226</v>
      </c>
      <c r="J18" s="29">
        <f>(D18+E18)*0.05</f>
        <v>123.37625000000001</v>
      </c>
      <c r="K18" s="52">
        <f aca="true" t="shared" si="3" ref="K18:K30">IF(F18-G18&gt;0,0,IF(F18-G18&lt;0,-(J18+H18)))</f>
        <v>1193.0118362579226</v>
      </c>
    </row>
    <row r="19" spans="1:11" s="1" customFormat="1" ht="14.25" customHeight="1">
      <c r="A19" s="38">
        <v>6</v>
      </c>
      <c r="B19" s="26" t="s">
        <v>25</v>
      </c>
      <c r="C19" s="49">
        <f>'[2]Дотации'!$H$24</f>
        <v>791.7094777546242</v>
      </c>
      <c r="D19" s="50">
        <v>1991</v>
      </c>
      <c r="E19" s="27">
        <v>2531.62</v>
      </c>
      <c r="F19" s="29">
        <f t="shared" si="0"/>
        <v>5314.329477754624</v>
      </c>
      <c r="G19" s="29">
        <f>4949.8274</f>
        <v>4949.8274</v>
      </c>
      <c r="H19" s="29">
        <f t="shared" si="1"/>
        <v>364.5020777546242</v>
      </c>
      <c r="I19" s="29">
        <f t="shared" si="2"/>
        <v>816.7640777546242</v>
      </c>
      <c r="J19" s="29">
        <f>(D19+E19)*0.1</f>
        <v>452.262</v>
      </c>
      <c r="K19" s="52">
        <f t="shared" si="3"/>
        <v>0</v>
      </c>
    </row>
    <row r="20" spans="1:11" s="1" customFormat="1" ht="14.25" customHeight="1">
      <c r="A20" s="38">
        <v>7</v>
      </c>
      <c r="B20" s="26" t="s">
        <v>26</v>
      </c>
      <c r="C20" s="49">
        <f>'[2]Дотации'!$H$25</f>
        <v>1699.1885213431008</v>
      </c>
      <c r="D20" s="50">
        <v>2322.5</v>
      </c>
      <c r="E20" s="27">
        <v>864.62</v>
      </c>
      <c r="F20" s="29">
        <f t="shared" si="0"/>
        <v>4886.3085213431</v>
      </c>
      <c r="G20" s="29">
        <f>4199.76717</f>
        <v>4199.76717</v>
      </c>
      <c r="H20" s="29">
        <f t="shared" si="1"/>
        <v>686.5413513431004</v>
      </c>
      <c r="I20" s="29">
        <f t="shared" si="2"/>
        <v>1005.2533513431003</v>
      </c>
      <c r="J20" s="29">
        <f>(D20+E20)*0.1</f>
        <v>318.712</v>
      </c>
      <c r="K20" s="52">
        <f t="shared" si="3"/>
        <v>0</v>
      </c>
    </row>
    <row r="21" spans="1:11" s="1" customFormat="1" ht="14.25" customHeight="1">
      <c r="A21" s="38">
        <v>8</v>
      </c>
      <c r="B21" s="26" t="s">
        <v>27</v>
      </c>
      <c r="C21" s="49">
        <f>'[2]Дотации'!$H$26</f>
        <v>896.2803342714132</v>
      </c>
      <c r="D21" s="50">
        <v>1620</v>
      </c>
      <c r="E21" s="27">
        <v>21.906</v>
      </c>
      <c r="F21" s="29">
        <f t="shared" si="0"/>
        <v>2538.186334271413</v>
      </c>
      <c r="G21" s="29">
        <f>3719.39872</f>
        <v>3719.39872</v>
      </c>
      <c r="H21" s="29">
        <f t="shared" si="1"/>
        <v>-1181.212385728587</v>
      </c>
      <c r="I21" s="29">
        <f t="shared" si="2"/>
        <v>-1099.117085728587</v>
      </c>
      <c r="J21" s="29">
        <f>(D21+E21)*0.05</f>
        <v>82.09530000000001</v>
      </c>
      <c r="K21" s="52">
        <f t="shared" si="3"/>
        <v>1099.117085728587</v>
      </c>
    </row>
    <row r="22" spans="1:11" s="1" customFormat="1" ht="14.25" customHeight="1">
      <c r="A22" s="38">
        <v>9</v>
      </c>
      <c r="B22" s="26" t="s">
        <v>28</v>
      </c>
      <c r="C22" s="49">
        <f>'[2]Дотации'!$H$27</f>
        <v>1595.4732486197342</v>
      </c>
      <c r="D22" s="50">
        <v>1413.5</v>
      </c>
      <c r="E22" s="27">
        <v>24.26</v>
      </c>
      <c r="F22" s="29">
        <f t="shared" si="0"/>
        <v>3033.2332486197347</v>
      </c>
      <c r="G22" s="29">
        <f>2811.88918</f>
        <v>2811.88918</v>
      </c>
      <c r="H22" s="29">
        <f t="shared" si="1"/>
        <v>221.34406861973457</v>
      </c>
      <c r="I22" s="29">
        <f t="shared" si="2"/>
        <v>293.2320686197346</v>
      </c>
      <c r="J22" s="29">
        <f>(D22+E22)*0.05</f>
        <v>71.888</v>
      </c>
      <c r="K22" s="52">
        <f t="shared" si="3"/>
        <v>0</v>
      </c>
    </row>
    <row r="23" spans="1:11" s="1" customFormat="1" ht="14.25" customHeight="1">
      <c r="A23" s="38">
        <v>10</v>
      </c>
      <c r="B23" s="26" t="s">
        <v>29</v>
      </c>
      <c r="C23" s="49">
        <f>'[2]Дотации'!$H$28</f>
        <v>1298.0173419407506</v>
      </c>
      <c r="D23" s="50">
        <v>907</v>
      </c>
      <c r="E23" s="27">
        <v>177.161</v>
      </c>
      <c r="F23" s="29">
        <f t="shared" si="0"/>
        <v>2382.1783419407507</v>
      </c>
      <c r="G23" s="29">
        <f>3386.36484</f>
        <v>3386.36484</v>
      </c>
      <c r="H23" s="29">
        <f t="shared" si="1"/>
        <v>-1004.1864980592495</v>
      </c>
      <c r="I23" s="29">
        <f t="shared" si="2"/>
        <v>-895.7703980592495</v>
      </c>
      <c r="J23" s="29">
        <f>(D23+E23)*0.1</f>
        <v>108.41610000000001</v>
      </c>
      <c r="K23" s="52">
        <f t="shared" si="3"/>
        <v>895.7703980592495</v>
      </c>
    </row>
    <row r="24" spans="1:11" s="1" customFormat="1" ht="14.25" customHeight="1">
      <c r="A24" s="38">
        <v>11</v>
      </c>
      <c r="B24" s="26" t="s">
        <v>30</v>
      </c>
      <c r="C24" s="49">
        <f>'[2]Дотации'!$H$29</f>
        <v>1175.9558181701004</v>
      </c>
      <c r="D24" s="50">
        <v>1877</v>
      </c>
      <c r="E24" s="27">
        <v>3716.38</v>
      </c>
      <c r="F24" s="29">
        <f t="shared" si="0"/>
        <v>6769.3358181701005</v>
      </c>
      <c r="G24" s="29">
        <f>5172.06554</f>
        <v>5172.06554</v>
      </c>
      <c r="H24" s="29">
        <f t="shared" si="1"/>
        <v>1597.270278170101</v>
      </c>
      <c r="I24" s="29">
        <f>J24+H24</f>
        <v>2156.608278170101</v>
      </c>
      <c r="J24" s="29">
        <f>(D24+E24)*0.1</f>
        <v>559.3380000000001</v>
      </c>
      <c r="K24" s="52">
        <f t="shared" si="3"/>
        <v>0</v>
      </c>
    </row>
    <row r="25" spans="1:11" s="1" customFormat="1" ht="14.25" customHeight="1">
      <c r="A25" s="38">
        <v>12</v>
      </c>
      <c r="B25" s="26" t="s">
        <v>31</v>
      </c>
      <c r="C25" s="49">
        <f>'[2]Дотации'!$H$30</f>
        <v>1011.682692216804</v>
      </c>
      <c r="D25" s="50">
        <v>771.5</v>
      </c>
      <c r="E25" s="27">
        <v>289.898</v>
      </c>
      <c r="F25" s="29">
        <f t="shared" si="0"/>
        <v>2073.080692216804</v>
      </c>
      <c r="G25" s="29">
        <f>1724.56801</f>
        <v>1724.56801</v>
      </c>
      <c r="H25" s="29">
        <f t="shared" si="1"/>
        <v>348.512682216804</v>
      </c>
      <c r="I25" s="29">
        <f t="shared" si="2"/>
        <v>454.65248221680406</v>
      </c>
      <c r="J25" s="29">
        <f>(D25+E25)*0.1</f>
        <v>106.13980000000002</v>
      </c>
      <c r="K25" s="52">
        <f t="shared" si="3"/>
        <v>0</v>
      </c>
    </row>
    <row r="26" spans="1:11" s="1" customFormat="1" ht="14.25" customHeight="1">
      <c r="A26" s="38">
        <v>13</v>
      </c>
      <c r="B26" s="26" t="s">
        <v>32</v>
      </c>
      <c r="C26" s="49">
        <f>'[2]Дотации'!$H$31</f>
        <v>2153.3554847579976</v>
      </c>
      <c r="D26" s="50">
        <v>1823.5</v>
      </c>
      <c r="E26" s="27">
        <v>250.729</v>
      </c>
      <c r="F26" s="29">
        <f t="shared" si="0"/>
        <v>4227.584484757997</v>
      </c>
      <c r="G26" s="29">
        <f>3816.5029</f>
        <v>3816.5029</v>
      </c>
      <c r="H26" s="29">
        <f t="shared" si="1"/>
        <v>411.08158475799746</v>
      </c>
      <c r="I26" s="29">
        <f t="shared" si="2"/>
        <v>618.5044847579975</v>
      </c>
      <c r="J26" s="29">
        <f>(D26+E26)*0.1</f>
        <v>207.4229</v>
      </c>
      <c r="K26" s="52">
        <f t="shared" si="3"/>
        <v>0</v>
      </c>
    </row>
    <row r="27" spans="1:11" s="1" customFormat="1" ht="14.25" customHeight="1">
      <c r="A27" s="38">
        <v>14</v>
      </c>
      <c r="B27" s="26" t="s">
        <v>33</v>
      </c>
      <c r="C27" s="49">
        <f>'[2]Дотации'!$H$32</f>
        <v>1256.0963670540732</v>
      </c>
      <c r="D27" s="50">
        <v>20421</v>
      </c>
      <c r="E27" s="27">
        <v>2923.359</v>
      </c>
      <c r="F27" s="29">
        <f t="shared" si="0"/>
        <v>24600.455367054074</v>
      </c>
      <c r="G27" s="29">
        <f>19598.60564</f>
        <v>19598.60564</v>
      </c>
      <c r="H27" s="29">
        <f t="shared" si="1"/>
        <v>5001.849727054072</v>
      </c>
      <c r="I27" s="29">
        <f t="shared" si="2"/>
        <v>6169.067677054072</v>
      </c>
      <c r="J27" s="29">
        <f>(D27+E27)*0.05</f>
        <v>1167.21795</v>
      </c>
      <c r="K27" s="52">
        <f t="shared" si="3"/>
        <v>0</v>
      </c>
    </row>
    <row r="28" spans="1:11" s="1" customFormat="1" ht="14.25" customHeight="1">
      <c r="A28" s="38">
        <v>15</v>
      </c>
      <c r="B28" s="26" t="s">
        <v>34</v>
      </c>
      <c r="C28" s="49">
        <f>'[2]Дотации'!$H$33</f>
        <v>2653.129890438034</v>
      </c>
      <c r="D28" s="50">
        <v>6558</v>
      </c>
      <c r="E28" s="27">
        <v>708.49</v>
      </c>
      <c r="F28" s="29">
        <f t="shared" si="0"/>
        <v>9919.619890438034</v>
      </c>
      <c r="G28" s="29">
        <f>9355.65374</f>
        <v>9355.65374</v>
      </c>
      <c r="H28" s="29">
        <f t="shared" si="1"/>
        <v>563.9661504380347</v>
      </c>
      <c r="I28" s="29">
        <f t="shared" si="2"/>
        <v>1290.6151504380346</v>
      </c>
      <c r="J28" s="29">
        <f>(D28+E28)*0.1</f>
        <v>726.649</v>
      </c>
      <c r="K28" s="52">
        <f t="shared" si="3"/>
        <v>0</v>
      </c>
    </row>
    <row r="29" spans="1:11" s="1" customFormat="1" ht="14.25" customHeight="1">
      <c r="A29" s="38">
        <v>16</v>
      </c>
      <c r="B29" s="26" t="s">
        <v>35</v>
      </c>
      <c r="C29" s="49">
        <f>'[2]Дотации'!$H$34</f>
        <v>3412.704195793681</v>
      </c>
      <c r="D29" s="50">
        <v>6345.5</v>
      </c>
      <c r="E29" s="27">
        <v>2823.639</v>
      </c>
      <c r="F29" s="29">
        <f t="shared" si="0"/>
        <v>12581.843195793681</v>
      </c>
      <c r="G29" s="29">
        <f>9481.55611</f>
        <v>9481.55611</v>
      </c>
      <c r="H29" s="29">
        <f t="shared" si="1"/>
        <v>3100.2870857936814</v>
      </c>
      <c r="I29" s="29">
        <f t="shared" si="2"/>
        <v>4017.2009857936814</v>
      </c>
      <c r="J29" s="29">
        <f>(D29+E29)*0.1</f>
        <v>916.9139</v>
      </c>
      <c r="K29" s="52">
        <f t="shared" si="3"/>
        <v>0</v>
      </c>
    </row>
    <row r="30" spans="1:11" s="1" customFormat="1" ht="14.25" customHeight="1">
      <c r="A30" s="38">
        <v>17</v>
      </c>
      <c r="B30" s="26" t="s">
        <v>36</v>
      </c>
      <c r="C30" s="49">
        <f>'[2]Дотации'!$H$35</f>
        <v>1509.9757848718557</v>
      </c>
      <c r="D30" s="50">
        <v>2223.5</v>
      </c>
      <c r="E30" s="27">
        <v>3831.422</v>
      </c>
      <c r="F30" s="29">
        <f t="shared" si="0"/>
        <v>7564.897784871855</v>
      </c>
      <c r="G30" s="29">
        <f>5963.71083</f>
        <v>5963.71083</v>
      </c>
      <c r="H30" s="29">
        <f t="shared" si="1"/>
        <v>1601.186954871855</v>
      </c>
      <c r="I30" s="29">
        <f t="shared" si="2"/>
        <v>2206.679154871855</v>
      </c>
      <c r="J30" s="29">
        <f>(D30+E30)*0.1</f>
        <v>605.4922</v>
      </c>
      <c r="K30" s="52">
        <f t="shared" si="3"/>
        <v>0</v>
      </c>
    </row>
    <row r="31" spans="1:11" ht="23.25" customHeight="1">
      <c r="A31" s="39"/>
      <c r="B31" s="40" t="s">
        <v>62</v>
      </c>
      <c r="C31" s="51">
        <f>SUM(C14:C30)</f>
        <v>26266.000000000004</v>
      </c>
      <c r="D31" s="51">
        <f aca="true" t="shared" si="4" ref="D31:J31">SUM(D14:D30)</f>
        <v>86234</v>
      </c>
      <c r="E31" s="41">
        <f>SUM(E14:E30)</f>
        <v>27621.639</v>
      </c>
      <c r="F31" s="41">
        <f>SUM(F14:F30)</f>
        <v>140121.639</v>
      </c>
      <c r="G31" s="41">
        <f>SUM(G14:G30)</f>
        <v>122775.88232999998</v>
      </c>
      <c r="H31" s="41">
        <f t="shared" si="4"/>
        <v>17345.756670000002</v>
      </c>
      <c r="I31" s="41">
        <f t="shared" si="4"/>
        <v>27240.753570000004</v>
      </c>
      <c r="J31" s="41">
        <f t="shared" si="4"/>
        <v>9894.9969</v>
      </c>
      <c r="K31" s="41">
        <f>SUM(K14:K30)</f>
        <v>3187.899320045759</v>
      </c>
    </row>
  </sheetData>
  <sheetProtection/>
  <mergeCells count="15">
    <mergeCell ref="C10:F10"/>
    <mergeCell ref="G10:G12"/>
    <mergeCell ref="H10:H12"/>
    <mergeCell ref="J10:J12"/>
    <mergeCell ref="K10:K12"/>
    <mergeCell ref="C11:C12"/>
    <mergeCell ref="D11:D12"/>
    <mergeCell ref="E11:E12"/>
    <mergeCell ref="F11:F12"/>
    <mergeCell ref="G1:K1"/>
    <mergeCell ref="G2:K2"/>
    <mergeCell ref="G3:K3"/>
    <mergeCell ref="G4:K4"/>
    <mergeCell ref="B6:I6"/>
    <mergeCell ref="B7:I7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Закон о бюджете на 1997 год</dc:title>
  <dc:subject/>
  <dc:creator>Tenjaew Dmitrj Alexandrowitch</dc:creator>
  <cp:keywords/>
  <dc:description/>
  <cp:lastModifiedBy>Света Чечина</cp:lastModifiedBy>
  <cp:lastPrinted>2013-12-17T12:22:59Z</cp:lastPrinted>
  <dcterms:created xsi:type="dcterms:W3CDTF">1998-09-07T09:31:30Z</dcterms:created>
  <dcterms:modified xsi:type="dcterms:W3CDTF">2013-12-18T13:36:09Z</dcterms:modified>
  <cp:category/>
  <cp:version/>
  <cp:contentType/>
  <cp:contentStatus/>
</cp:coreProperties>
</file>